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ublic Affairs\Agency Economic Analysis Workbooks\"/>
    </mc:Choice>
  </mc:AlternateContent>
  <bookViews>
    <workbookView xWindow="0" yWindow="0" windowWidth="19200" windowHeight="7536"/>
  </bookViews>
  <sheets>
    <sheet name="Service Delivery Cost Example" sheetId="1" r:id="rId1"/>
    <sheet name="Payer Analysis 2" sheetId="3" r:id="rId2"/>
    <sheet name="Payer Analysi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 l="1"/>
  <c r="K10" i="3"/>
  <c r="I10" i="3"/>
  <c r="F10" i="3"/>
  <c r="G10" i="3"/>
  <c r="E10" i="3"/>
  <c r="G19" i="1"/>
  <c r="G21" i="1" s="1"/>
  <c r="G28" i="1" s="1"/>
  <c r="G32" i="1" l="1"/>
  <c r="G25" i="3"/>
  <c r="G26" i="3"/>
  <c r="G27" i="3"/>
  <c r="G28" i="3"/>
  <c r="G24" i="3"/>
  <c r="E29" i="3"/>
  <c r="F28" i="3" s="1"/>
  <c r="C29" i="3"/>
  <c r="D25" i="3" s="1"/>
  <c r="G29" i="3" l="1"/>
  <c r="F29" i="3"/>
  <c r="F24" i="3"/>
  <c r="D24" i="3"/>
  <c r="F27" i="3"/>
  <c r="D29" i="3"/>
  <c r="F26" i="3"/>
  <c r="D28" i="3"/>
  <c r="F25" i="3"/>
  <c r="D27" i="3"/>
  <c r="D26" i="3"/>
  <c r="F17" i="3"/>
  <c r="G17" i="3"/>
  <c r="K17" i="3"/>
  <c r="E17" i="3"/>
  <c r="K16" i="3"/>
  <c r="M16" i="3" s="1"/>
  <c r="M17" i="3" s="1"/>
  <c r="I16" i="3"/>
  <c r="I17" i="3" s="1"/>
  <c r="H16" i="3"/>
  <c r="H17" i="3" s="1"/>
  <c r="M7" i="3"/>
  <c r="M8" i="3"/>
  <c r="M9" i="3"/>
  <c r="M10" i="3"/>
  <c r="M6" i="3"/>
  <c r="L10" i="3"/>
  <c r="H10" i="3"/>
  <c r="L9" i="3"/>
  <c r="H9" i="3"/>
  <c r="L8" i="3"/>
  <c r="H8" i="3"/>
  <c r="L7" i="3"/>
  <c r="H7" i="3"/>
  <c r="L6" i="3"/>
  <c r="H6" i="3"/>
  <c r="J16" i="3" l="1"/>
  <c r="J17" i="3" s="1"/>
  <c r="L16" i="3"/>
  <c r="L17" i="3" s="1"/>
  <c r="D13" i="2" l="1"/>
  <c r="D12" i="2"/>
  <c r="D11" i="2"/>
  <c r="D10" i="2"/>
  <c r="D9" i="2" l="1"/>
  <c r="D14" i="2" l="1"/>
  <c r="F31" i="1" l="1"/>
  <c r="F30" i="1"/>
  <c r="F28" i="1"/>
  <c r="F26" i="1"/>
  <c r="F25" i="1"/>
  <c r="F17" i="1"/>
  <c r="G31" i="1" l="1"/>
  <c r="C6" i="1"/>
  <c r="C9" i="1" s="1"/>
  <c r="C26" i="1"/>
  <c r="C18" i="1"/>
  <c r="C21" i="1" s="1"/>
  <c r="C14" i="1"/>
  <c r="C28" i="1" s="1"/>
  <c r="C32" i="1" l="1"/>
  <c r="C36" i="1" s="1"/>
  <c r="C38" i="1" s="1"/>
  <c r="C39" i="1" s="1"/>
  <c r="C31" i="1"/>
  <c r="C30" i="1"/>
  <c r="G30" i="1"/>
</calcChain>
</file>

<file path=xl/sharedStrings.xml><?xml version="1.0" encoding="utf-8"?>
<sst xmlns="http://schemas.openxmlformats.org/spreadsheetml/2006/main" count="142" uniqueCount="117">
  <si>
    <t>Ambulance</t>
  </si>
  <si>
    <t>FTEs</t>
  </si>
  <si>
    <t>Cost/FTE</t>
  </si>
  <si>
    <t>Personnel cost</t>
  </si>
  <si>
    <t>Equipment</t>
  </si>
  <si>
    <t>Cost</t>
  </si>
  <si>
    <t>Annual Cost</t>
  </si>
  <si>
    <t>Maintenance</t>
  </si>
  <si>
    <t>Fuel</t>
  </si>
  <si>
    <t>Supplies</t>
  </si>
  <si>
    <t>Other</t>
  </si>
  <si>
    <t>Per Ambulance</t>
  </si>
  <si>
    <t>Useful Life/Years</t>
  </si>
  <si>
    <t>EMS Training</t>
  </si>
  <si>
    <t>Population</t>
  </si>
  <si>
    <t>EMS Calls/Yr</t>
  </si>
  <si>
    <t>UH/U</t>
  </si>
  <si>
    <t>EMS Transports/Yr</t>
  </si>
  <si>
    <t>Total Annual</t>
  </si>
  <si>
    <t>Cost/UH</t>
  </si>
  <si>
    <t>Cost/Response</t>
  </si>
  <si>
    <t>Cost/Transport</t>
  </si>
  <si>
    <t>Ambulance Analysis - All Members</t>
  </si>
  <si>
    <t>Annually</t>
  </si>
  <si>
    <t>Monthly</t>
  </si>
  <si>
    <t>Number of Trips</t>
  </si>
  <si>
    <t>% "Emergency"</t>
  </si>
  <si>
    <t>Total $ Billed</t>
  </si>
  <si>
    <t>$ Paid</t>
  </si>
  <si>
    <t>Current $ Outstanding</t>
  </si>
  <si>
    <t>Total Ambulance Expenditure</t>
  </si>
  <si>
    <t>Average Ambulance Expenditure</t>
  </si>
  <si>
    <t>Gross APC</t>
  </si>
  <si>
    <t>Cost per Transport</t>
  </si>
  <si>
    <t>Average Collection Rate</t>
  </si>
  <si>
    <t>Net APC - Check</t>
  </si>
  <si>
    <t>Agency Name:</t>
  </si>
  <si>
    <t>Annnual Ambulance Unit Hours</t>
  </si>
  <si>
    <t>Total population served</t>
  </si>
  <si>
    <t>Annual ambulance transports</t>
  </si>
  <si>
    <t>Number of FTEs required to be hired to staff the ambulance(s)</t>
  </si>
  <si>
    <t>All costs, pay, benefits, uniform, personal equipment, pension costs, etc.</t>
  </si>
  <si>
    <t>FTEs * Personnel cost</t>
  </si>
  <si>
    <t>Cost of the ambulance, delivered</t>
  </si>
  <si>
    <t>Cot, monitor, etc.</t>
  </si>
  <si>
    <t>Total costs</t>
  </si>
  <si>
    <r>
      <t xml:space="preserve">Total cost divided by annual </t>
    </r>
    <r>
      <rPr>
        <b/>
        <i/>
        <u/>
        <sz val="11"/>
        <color theme="1"/>
        <rFont val="Calibri"/>
        <family val="2"/>
      </rPr>
      <t>responses</t>
    </r>
  </si>
  <si>
    <r>
      <t xml:space="preserve">Total cost divided by annual </t>
    </r>
    <r>
      <rPr>
        <b/>
        <i/>
        <u/>
        <sz val="11"/>
        <color theme="1"/>
        <rFont val="Calibri"/>
        <family val="2"/>
      </rPr>
      <t>unit hours</t>
    </r>
  </si>
  <si>
    <t>Notes:</t>
  </si>
  <si>
    <t>(i.e. Engine)</t>
  </si>
  <si>
    <t>Fuel cost for running an EMS call</t>
  </si>
  <si>
    <t>Disposable supplies used for EMS calls</t>
  </si>
  <si>
    <t>Economic Analysis</t>
  </si>
  <si>
    <t>From Billing Analysis</t>
  </si>
  <si>
    <t>Amount needed to collect enough $ per transport to cover cost of EMS</t>
  </si>
  <si>
    <t>Month</t>
  </si>
  <si>
    <t>Claim Count</t>
  </si>
  <si>
    <t>Patient Count</t>
  </si>
  <si>
    <t>Charge per Transport</t>
  </si>
  <si>
    <t>Contractual Adjustments</t>
  </si>
  <si>
    <t>Net Charges</t>
  </si>
  <si>
    <t>Paid</t>
  </si>
  <si>
    <t>Collected per Transport</t>
  </si>
  <si>
    <t>ABCD1</t>
  </si>
  <si>
    <t>ABCD2</t>
  </si>
  <si>
    <t>ABCD3</t>
  </si>
  <si>
    <t>ABCD4</t>
  </si>
  <si>
    <t>Total</t>
  </si>
  <si>
    <t>Payer Name</t>
  </si>
  <si>
    <t>Billed Charges</t>
  </si>
  <si>
    <t>Collection Rate</t>
  </si>
  <si>
    <t>Commercial Payer Example</t>
  </si>
  <si>
    <t>Medicare Example</t>
  </si>
  <si>
    <t>M'Care</t>
  </si>
  <si>
    <t>Medicare</t>
  </si>
  <si>
    <t>Medicaid</t>
  </si>
  <si>
    <t>Facility</t>
  </si>
  <si>
    <t>Commercial Insurance</t>
  </si>
  <si>
    <t>Private Pay</t>
  </si>
  <si>
    <t>Billed</t>
  </si>
  <si>
    <t>Collected</t>
  </si>
  <si>
    <t>% of Collected</t>
  </si>
  <si>
    <t>Payer Collection Rate</t>
  </si>
  <si>
    <t>% of Billed</t>
  </si>
  <si>
    <t>Annual EMS responses in which an ambulance was dispatched</t>
  </si>
  <si>
    <t>Annual ambulance transports divided by annual unit hours</t>
  </si>
  <si>
    <t>Ambulance Cost</t>
  </si>
  <si>
    <t>Number of Ambulances</t>
  </si>
  <si>
    <t>Count of ambulances in the fleet</t>
  </si>
  <si>
    <t>Annual allocated or actual cost of maintenance</t>
  </si>
  <si>
    <t>Annual cost of fuel</t>
  </si>
  <si>
    <t>Annual cost of disposable supplies and drugs</t>
  </si>
  <si>
    <t xml:space="preserve">Total Ambulance on-duty hours/yr (i.e.: 1 Ambulance 24/7 is 24 * 365 = 8,760) </t>
  </si>
  <si>
    <t>Number of 1st Response Units</t>
  </si>
  <si>
    <r>
      <t xml:space="preserve">Total costs divided by annual </t>
    </r>
    <r>
      <rPr>
        <b/>
        <i/>
        <u/>
        <sz val="11"/>
        <color theme="1"/>
        <rFont val="Calibri"/>
        <family val="2"/>
      </rPr>
      <t>unit hours</t>
    </r>
  </si>
  <si>
    <r>
      <t xml:space="preserve">Total costs divided by annual </t>
    </r>
    <r>
      <rPr>
        <b/>
        <i/>
        <u/>
        <sz val="11"/>
        <color theme="1"/>
        <rFont val="Calibri"/>
        <family val="2"/>
      </rPr>
      <t>responses</t>
    </r>
  </si>
  <si>
    <r>
      <t xml:space="preserve">Total costs divided by annual </t>
    </r>
    <r>
      <rPr>
        <b/>
        <i/>
        <u/>
        <sz val="11"/>
        <color theme="1"/>
        <rFont val="Calibri"/>
        <family val="2"/>
      </rPr>
      <t>transports</t>
    </r>
  </si>
  <si>
    <t>1st Response Units</t>
  </si>
  <si>
    <t>Number of FTEs required to be hired to staff the 1st Response Units</t>
  </si>
  <si>
    <t>EMT/Paramedic Diff</t>
  </si>
  <si>
    <t>Annual pay premiums for EMT or paramedic certification per employee</t>
  </si>
  <si>
    <t>Annual cost EMS related training and/or backfill</t>
  </si>
  <si>
    <t>Useful Life (in years)</t>
  </si>
  <si>
    <t>Average useful life for capital equipment</t>
  </si>
  <si>
    <t>Allocated cost per year for equipment</t>
  </si>
  <si>
    <t>Depreciaton expense</t>
  </si>
  <si>
    <t>Annual cost of each ambulance</t>
  </si>
  <si>
    <t>Cost for capital EMS equipment for the Engine (cardiac monitor, etc.)</t>
  </si>
  <si>
    <t>Annual Equipment Cost</t>
  </si>
  <si>
    <t>Anytown, USA</t>
  </si>
  <si>
    <t>= Auto-Calculated/Protected Fields</t>
  </si>
  <si>
    <t>= User Entered Fields</t>
  </si>
  <si>
    <t>Payer Mix</t>
  </si>
  <si>
    <t>Commercial Payer - Analysis</t>
  </si>
  <si>
    <t>Payer:</t>
  </si>
  <si>
    <t>Date Range:</t>
  </si>
  <si>
    <t>Members: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</si>
</sst>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00"/>
    <numFmt numFmtId="166" formatCode="_(* #,##0_);_(* \(#,##0\);_(* &quot;-&quot;??_);_(@_)"/>
    <numFmt numFmtId="167" formatCode="0.0%"/>
    <numFmt numFmtId="168" formatCode="&quot;$&quot;#,##0.00"/>
    <numFmt numFmtId="169" formatCode="&quot;$&quot;#,##0"/>
  </numFmts>
  <fonts count="1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i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5" fillId="5" borderId="0" xfId="0" applyFont="1" applyFill="1" applyProtection="1">
      <protection locked="0"/>
    </xf>
    <xf numFmtId="3" fontId="0" fillId="3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64" fontId="0" fillId="3" borderId="0" xfId="1" applyNumberFormat="1" applyFont="1" applyFill="1" applyProtection="1">
      <protection locked="0"/>
    </xf>
    <xf numFmtId="164" fontId="0" fillId="0" borderId="0" xfId="1" applyNumberFormat="1" applyFont="1" applyProtection="1">
      <protection locked="0"/>
    </xf>
    <xf numFmtId="164" fontId="0" fillId="3" borderId="0" xfId="0" applyNumberFormat="1" applyFill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left" indent="2"/>
    </xf>
    <xf numFmtId="0" fontId="8" fillId="0" borderId="0" xfId="0" applyFont="1" applyFill="1" applyAlignment="1" applyProtection="1">
      <alignment horizontal="left" indent="2"/>
    </xf>
    <xf numFmtId="0" fontId="0" fillId="0" borderId="0" xfId="0" applyFill="1" applyAlignment="1" applyProtection="1">
      <alignment horizontal="left" indent="2"/>
    </xf>
    <xf numFmtId="0" fontId="0" fillId="0" borderId="0" xfId="0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165" fontId="0" fillId="4" borderId="0" xfId="0" applyNumberFormat="1" applyFill="1" applyProtection="1"/>
    <xf numFmtId="164" fontId="0" fillId="4" borderId="0" xfId="1" applyNumberFormat="1" applyFont="1" applyFill="1" applyProtection="1"/>
    <xf numFmtId="164" fontId="2" fillId="4" borderId="0" xfId="0" applyNumberFormat="1" applyFont="1" applyFill="1" applyProtection="1"/>
    <xf numFmtId="44" fontId="2" fillId="4" borderId="0" xfId="1" applyFont="1" applyFill="1" applyProtection="1"/>
    <xf numFmtId="44" fontId="0" fillId="4" borderId="0" xfId="0" applyNumberFormat="1" applyFill="1" applyProtection="1"/>
    <xf numFmtId="9" fontId="0" fillId="4" borderId="0" xfId="3" applyFont="1" applyFill="1" applyProtection="1"/>
    <xf numFmtId="44" fontId="0" fillId="4" borderId="0" xfId="1" applyFont="1" applyFill="1" applyProtection="1"/>
    <xf numFmtId="0" fontId="0" fillId="0" borderId="0" xfId="0" applyAlignment="1" applyProtection="1">
      <alignment horizontal="left" indent="1"/>
    </xf>
    <xf numFmtId="0" fontId="8" fillId="0" borderId="0" xfId="0" applyFont="1" applyAlignment="1" applyProtection="1">
      <alignment horizontal="left" indent="1"/>
    </xf>
    <xf numFmtId="0" fontId="8" fillId="0" borderId="0" xfId="0" applyFont="1" applyFill="1" applyProtection="1"/>
    <xf numFmtId="0" fontId="8" fillId="0" borderId="0" xfId="0" applyFont="1" applyProtection="1"/>
    <xf numFmtId="0" fontId="5" fillId="0" borderId="0" xfId="0" applyFont="1" applyProtection="1"/>
    <xf numFmtId="0" fontId="0" fillId="3" borderId="4" xfId="0" applyFill="1" applyBorder="1" applyProtection="1"/>
    <xf numFmtId="0" fontId="0" fillId="0" borderId="0" xfId="0" quotePrefix="1" applyProtection="1"/>
    <xf numFmtId="0" fontId="0" fillId="4" borderId="4" xfId="0" applyFill="1" applyBorder="1" applyProtection="1"/>
    <xf numFmtId="0" fontId="3" fillId="0" borderId="0" xfId="0" applyFont="1" applyAlignment="1" applyProtection="1">
      <alignment horizontal="right" vertical="top"/>
    </xf>
    <xf numFmtId="0" fontId="9" fillId="0" borderId="0" xfId="0" applyFont="1" applyAlignment="1" applyProtection="1">
      <alignment vertical="top"/>
    </xf>
    <xf numFmtId="0" fontId="0" fillId="0" borderId="0" xfId="0" applyFont="1" applyProtection="1"/>
    <xf numFmtId="0" fontId="0" fillId="0" borderId="0" xfId="0" applyFont="1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 indent="1"/>
    </xf>
    <xf numFmtId="166" fontId="9" fillId="3" borderId="0" xfId="2" applyNumberFormat="1" applyFont="1" applyFill="1" applyAlignment="1" applyProtection="1">
      <alignment vertical="top"/>
      <protection locked="0"/>
    </xf>
    <xf numFmtId="1" fontId="9" fillId="4" borderId="0" xfId="0" applyNumberFormat="1" applyFont="1" applyFill="1" applyAlignment="1" applyProtection="1">
      <alignment horizontal="left" vertical="top"/>
    </xf>
    <xf numFmtId="167" fontId="9" fillId="3" borderId="0" xfId="3" applyNumberFormat="1" applyFont="1" applyFill="1" applyAlignment="1" applyProtection="1">
      <alignment vertical="top"/>
      <protection locked="0"/>
    </xf>
    <xf numFmtId="167" fontId="9" fillId="4" borderId="0" xfId="0" applyNumberFormat="1" applyFont="1" applyFill="1" applyAlignment="1" applyProtection="1">
      <alignment horizontal="left" vertical="top"/>
    </xf>
    <xf numFmtId="169" fontId="9" fillId="3" borderId="0" xfId="1" applyNumberFormat="1" applyFont="1" applyFill="1" applyAlignment="1" applyProtection="1">
      <alignment vertical="top"/>
      <protection locked="0"/>
    </xf>
    <xf numFmtId="169" fontId="9" fillId="0" borderId="0" xfId="0" applyNumberFormat="1" applyFont="1" applyAlignment="1" applyProtection="1">
      <alignment vertical="top"/>
    </xf>
    <xf numFmtId="169" fontId="9" fillId="4" borderId="0" xfId="1" applyNumberFormat="1" applyFont="1" applyFill="1" applyAlignment="1" applyProtection="1">
      <alignment horizontal="left" vertical="top"/>
    </xf>
    <xf numFmtId="0" fontId="9" fillId="0" borderId="1" xfId="0" applyFont="1" applyBorder="1" applyAlignment="1" applyProtection="1">
      <alignment horizontal="left" vertical="top" indent="1"/>
    </xf>
    <xf numFmtId="169" fontId="9" fillId="3" borderId="1" xfId="1" applyNumberFormat="1" applyFont="1" applyFill="1" applyBorder="1" applyAlignment="1" applyProtection="1">
      <alignment vertical="top"/>
      <protection locked="0"/>
    </xf>
    <xf numFmtId="169" fontId="9" fillId="4" borderId="1" xfId="1" applyNumberFormat="1" applyFont="1" applyFill="1" applyBorder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top" indent="2"/>
    </xf>
    <xf numFmtId="169" fontId="3" fillId="4" borderId="0" xfId="1" applyNumberFormat="1" applyFont="1" applyFill="1" applyAlignment="1" applyProtection="1">
      <alignment vertical="top"/>
    </xf>
    <xf numFmtId="169" fontId="9" fillId="0" borderId="0" xfId="0" applyNumberFormat="1" applyFont="1" applyFill="1" applyAlignment="1" applyProtection="1">
      <alignment vertical="top"/>
    </xf>
    <xf numFmtId="169" fontId="3" fillId="4" borderId="0" xfId="1" applyNumberFormat="1" applyFont="1" applyFill="1" applyAlignment="1" applyProtection="1">
      <alignment horizontal="left" vertical="top"/>
    </xf>
    <xf numFmtId="169" fontId="3" fillId="0" borderId="0" xfId="1" applyNumberFormat="1" applyFont="1" applyFill="1" applyAlignment="1" applyProtection="1">
      <alignment vertical="top"/>
    </xf>
    <xf numFmtId="169" fontId="3" fillId="0" borderId="0" xfId="1" applyNumberFormat="1" applyFont="1" applyFill="1" applyAlignment="1" applyProtection="1">
      <alignment horizontal="left" vertical="top"/>
    </xf>
    <xf numFmtId="168" fontId="3" fillId="4" borderId="0" xfId="1" applyNumberFormat="1" applyFont="1" applyFill="1" applyAlignment="1" applyProtection="1">
      <alignment vertical="top"/>
    </xf>
    <xf numFmtId="0" fontId="9" fillId="0" borderId="0" xfId="0" applyFont="1" applyFill="1" applyAlignment="1" applyProtection="1">
      <alignment vertical="top"/>
    </xf>
    <xf numFmtId="168" fontId="9" fillId="0" borderId="0" xfId="0" applyNumberFormat="1" applyFont="1" applyFill="1" applyAlignment="1" applyProtection="1">
      <alignment vertical="top"/>
    </xf>
    <xf numFmtId="0" fontId="3" fillId="0" borderId="2" xfId="0" applyFont="1" applyFill="1" applyBorder="1" applyAlignment="1" applyProtection="1">
      <alignment vertical="top"/>
    </xf>
    <xf numFmtId="168" fontId="3" fillId="4" borderId="3" xfId="1" applyNumberFormat="1" applyFont="1" applyFill="1" applyBorder="1" applyAlignment="1" applyProtection="1">
      <alignment vertical="top"/>
    </xf>
    <xf numFmtId="0" fontId="9" fillId="3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right" vertical="top"/>
    </xf>
    <xf numFmtId="17" fontId="0" fillId="3" borderId="0" xfId="0" applyNumberFormat="1" applyFill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1" xfId="1" applyNumberFormat="1" applyFont="1" applyFill="1" applyBorder="1" applyProtection="1">
      <protection locked="0"/>
    </xf>
    <xf numFmtId="44" fontId="0" fillId="3" borderId="1" xfId="1" applyFont="1" applyFill="1" applyBorder="1" applyProtection="1">
      <protection locked="0"/>
    </xf>
    <xf numFmtId="164" fontId="0" fillId="3" borderId="0" xfId="1" applyNumberFormat="1" applyFont="1" applyFill="1" applyAlignment="1" applyProtection="1">
      <alignment horizontal="center"/>
      <protection locked="0"/>
    </xf>
    <xf numFmtId="0" fontId="0" fillId="0" borderId="0" xfId="0" applyFill="1" applyProtection="1"/>
    <xf numFmtId="0" fontId="2" fillId="2" borderId="0" xfId="0" applyFont="1" applyFill="1" applyProtection="1"/>
    <xf numFmtId="0" fontId="2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44" fontId="0" fillId="4" borderId="0" xfId="1" applyNumberFormat="1" applyFont="1" applyFill="1" applyProtection="1"/>
    <xf numFmtId="167" fontId="0" fillId="4" borderId="0" xfId="3" applyNumberFormat="1" applyFont="1" applyFill="1" applyAlignment="1" applyProtection="1">
      <alignment horizontal="center"/>
    </xf>
    <xf numFmtId="44" fontId="0" fillId="4" borderId="1" xfId="1" applyNumberFormat="1" applyFont="1" applyFill="1" applyBorder="1" applyProtection="1"/>
    <xf numFmtId="44" fontId="0" fillId="4" borderId="1" xfId="1" applyFont="1" applyFill="1" applyBorder="1" applyProtection="1"/>
    <xf numFmtId="167" fontId="0" fillId="4" borderId="1" xfId="3" applyNumberFormat="1" applyFont="1" applyFill="1" applyBorder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164" fontId="2" fillId="4" borderId="0" xfId="1" applyNumberFormat="1" applyFont="1" applyFill="1" applyAlignment="1" applyProtection="1">
      <alignment horizontal="center"/>
    </xf>
    <xf numFmtId="44" fontId="2" fillId="4" borderId="0" xfId="1" applyNumberFormat="1" applyFont="1" applyFill="1" applyProtection="1"/>
    <xf numFmtId="164" fontId="2" fillId="4" borderId="0" xfId="1" applyNumberFormat="1" applyFont="1" applyFill="1" applyProtection="1"/>
    <xf numFmtId="44" fontId="2" fillId="4" borderId="0" xfId="1" applyFont="1" applyFill="1" applyAlignment="1" applyProtection="1">
      <alignment horizontal="center"/>
    </xf>
    <xf numFmtId="167" fontId="2" fillId="4" borderId="0" xfId="3" applyNumberFormat="1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6" fillId="0" borderId="0" xfId="0" applyFont="1" applyBorder="1" applyProtection="1"/>
    <xf numFmtId="167" fontId="0" fillId="4" borderId="0" xfId="3" applyNumberFormat="1" applyFont="1" applyFill="1" applyAlignment="1" applyProtection="1">
      <alignment horizontal="center" wrapText="1"/>
    </xf>
    <xf numFmtId="167" fontId="0" fillId="4" borderId="1" xfId="3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left" indent="2"/>
    </xf>
    <xf numFmtId="167" fontId="2" fillId="4" borderId="0" xfId="3" applyNumberFormat="1" applyFont="1" applyFill="1" applyAlignment="1" applyProtection="1">
      <alignment horizontal="center" wrapText="1"/>
    </xf>
    <xf numFmtId="0" fontId="6" fillId="0" borderId="0" xfId="0" applyFont="1" applyFill="1" applyBorder="1" applyProtection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B1" sqref="B1"/>
    </sheetView>
  </sheetViews>
  <sheetFormatPr defaultRowHeight="14.4" x14ac:dyDescent="0.3"/>
  <cols>
    <col min="1" max="1" width="14.21875" style="3" customWidth="1"/>
    <col min="2" max="2" width="23.109375" style="3" customWidth="1"/>
    <col min="3" max="3" width="12.109375" style="3" bestFit="1" customWidth="1"/>
    <col min="4" max="4" width="66.77734375" style="3" customWidth="1"/>
    <col min="5" max="5" width="2.77734375" style="3" customWidth="1"/>
    <col min="6" max="6" width="27.33203125" style="3" customWidth="1"/>
    <col min="7" max="7" width="11.109375" style="3" bestFit="1" customWidth="1"/>
    <col min="8" max="8" width="8.88671875" style="3"/>
    <col min="9" max="9" width="9.5546875" style="3" bestFit="1" customWidth="1"/>
    <col min="10" max="16384" width="8.88671875" style="3"/>
  </cols>
  <sheetData>
    <row r="1" spans="1:8" ht="15" thickBot="1" x14ac:dyDescent="0.35">
      <c r="A1" s="16" t="s">
        <v>36</v>
      </c>
      <c r="B1" s="2" t="s">
        <v>109</v>
      </c>
      <c r="C1" s="34"/>
      <c r="D1" s="35" t="s">
        <v>111</v>
      </c>
    </row>
    <row r="2" spans="1:8" ht="15" thickBot="1" x14ac:dyDescent="0.35">
      <c r="A2" s="1"/>
      <c r="B2" s="12"/>
      <c r="C2" s="36"/>
      <c r="D2" s="35" t="s">
        <v>110</v>
      </c>
    </row>
    <row r="3" spans="1:8" x14ac:dyDescent="0.3">
      <c r="A3" s="16"/>
      <c r="B3" s="73"/>
      <c r="C3" s="15"/>
      <c r="D3" s="15"/>
    </row>
    <row r="4" spans="1:8" x14ac:dyDescent="0.3">
      <c r="A4" s="15"/>
      <c r="B4" s="15"/>
      <c r="C4" s="15"/>
      <c r="D4" s="33" t="s">
        <v>48</v>
      </c>
      <c r="E4" s="4"/>
    </row>
    <row r="5" spans="1:8" x14ac:dyDescent="0.3">
      <c r="B5" s="14" t="s">
        <v>14</v>
      </c>
      <c r="C5" s="5">
        <v>20000</v>
      </c>
      <c r="D5" s="15" t="s">
        <v>38</v>
      </c>
      <c r="E5" s="6"/>
    </row>
    <row r="6" spans="1:8" x14ac:dyDescent="0.3">
      <c r="B6" s="14" t="s">
        <v>37</v>
      </c>
      <c r="C6" s="5">
        <f>24*365</f>
        <v>8760</v>
      </c>
      <c r="D6" s="15" t="s">
        <v>92</v>
      </c>
      <c r="E6" s="6"/>
    </row>
    <row r="7" spans="1:8" x14ac:dyDescent="0.3">
      <c r="B7" s="14" t="s">
        <v>15</v>
      </c>
      <c r="C7" s="5">
        <v>1000</v>
      </c>
      <c r="D7" s="15" t="s">
        <v>84</v>
      </c>
      <c r="E7" s="6"/>
    </row>
    <row r="8" spans="1:8" x14ac:dyDescent="0.3">
      <c r="B8" s="14" t="s">
        <v>17</v>
      </c>
      <c r="C8" s="2">
        <v>700</v>
      </c>
      <c r="D8" s="15" t="s">
        <v>39</v>
      </c>
      <c r="E8" s="6"/>
    </row>
    <row r="9" spans="1:8" x14ac:dyDescent="0.3">
      <c r="B9" s="14" t="s">
        <v>16</v>
      </c>
      <c r="C9" s="22">
        <f>+C7/C6</f>
        <v>0.11415525114155251</v>
      </c>
      <c r="D9" s="15" t="s">
        <v>85</v>
      </c>
      <c r="E9" s="6"/>
    </row>
    <row r="10" spans="1:8" x14ac:dyDescent="0.3">
      <c r="B10" s="15"/>
      <c r="D10" s="15"/>
      <c r="E10" s="6"/>
    </row>
    <row r="11" spans="1:8" x14ac:dyDescent="0.3">
      <c r="B11" s="16" t="s">
        <v>11</v>
      </c>
      <c r="D11" s="15"/>
      <c r="E11" s="6"/>
      <c r="F11" s="16" t="s">
        <v>97</v>
      </c>
      <c r="G11" s="3" t="s">
        <v>49</v>
      </c>
      <c r="H11" s="33" t="s">
        <v>48</v>
      </c>
    </row>
    <row r="12" spans="1:8" x14ac:dyDescent="0.3">
      <c r="B12" s="17" t="s">
        <v>1</v>
      </c>
      <c r="C12" s="7">
        <v>7</v>
      </c>
      <c r="D12" s="15" t="s">
        <v>40</v>
      </c>
      <c r="E12" s="6"/>
      <c r="F12" s="17" t="s">
        <v>1</v>
      </c>
      <c r="G12" s="7">
        <v>15</v>
      </c>
      <c r="H12" s="15" t="s">
        <v>98</v>
      </c>
    </row>
    <row r="13" spans="1:8" x14ac:dyDescent="0.3">
      <c r="B13" s="17" t="s">
        <v>2</v>
      </c>
      <c r="C13" s="8">
        <v>80000</v>
      </c>
      <c r="D13" s="15" t="s">
        <v>41</v>
      </c>
      <c r="E13" s="6"/>
      <c r="F13" s="17" t="s">
        <v>99</v>
      </c>
      <c r="G13" s="8">
        <v>6000</v>
      </c>
      <c r="H13" s="15" t="s">
        <v>100</v>
      </c>
    </row>
    <row r="14" spans="1:8" x14ac:dyDescent="0.3">
      <c r="B14" s="18" t="s">
        <v>3</v>
      </c>
      <c r="C14" s="23">
        <f>+C12*C13</f>
        <v>560000</v>
      </c>
      <c r="D14" s="15" t="s">
        <v>42</v>
      </c>
      <c r="E14" s="6"/>
      <c r="F14" s="17" t="s">
        <v>13</v>
      </c>
      <c r="G14" s="8">
        <v>5000</v>
      </c>
      <c r="H14" s="15" t="s">
        <v>101</v>
      </c>
    </row>
    <row r="15" spans="1:8" x14ac:dyDescent="0.3">
      <c r="B15" s="17"/>
      <c r="C15" s="9"/>
      <c r="D15" s="15"/>
      <c r="E15" s="6"/>
      <c r="F15" s="15"/>
      <c r="H15" s="15"/>
    </row>
    <row r="16" spans="1:8" x14ac:dyDescent="0.3">
      <c r="B16" s="17" t="s">
        <v>0</v>
      </c>
      <c r="C16" s="8">
        <v>150000</v>
      </c>
      <c r="D16" s="15" t="s">
        <v>43</v>
      </c>
      <c r="E16" s="6"/>
      <c r="F16" s="15"/>
      <c r="H16" s="15"/>
    </row>
    <row r="17" spans="2:9" x14ac:dyDescent="0.3">
      <c r="B17" s="17" t="s">
        <v>4</v>
      </c>
      <c r="C17" s="8">
        <v>50000</v>
      </c>
      <c r="D17" s="15" t="s">
        <v>44</v>
      </c>
      <c r="E17" s="6"/>
      <c r="F17" s="29" t="str">
        <f>+B17</f>
        <v>Equipment</v>
      </c>
      <c r="G17" s="10">
        <v>30000</v>
      </c>
      <c r="H17" s="15" t="s">
        <v>107</v>
      </c>
    </row>
    <row r="18" spans="2:9" x14ac:dyDescent="0.3">
      <c r="B18" s="17" t="s">
        <v>5</v>
      </c>
      <c r="C18" s="23">
        <f>+C16+C17</f>
        <v>200000</v>
      </c>
      <c r="D18" s="15" t="s">
        <v>45</v>
      </c>
      <c r="E18" s="6"/>
      <c r="F18" s="29" t="s">
        <v>102</v>
      </c>
      <c r="G18" s="11">
        <v>5</v>
      </c>
      <c r="H18" s="15" t="s">
        <v>103</v>
      </c>
    </row>
    <row r="19" spans="2:9" x14ac:dyDescent="0.3">
      <c r="B19" s="17" t="s">
        <v>12</v>
      </c>
      <c r="C19" s="7">
        <v>5</v>
      </c>
      <c r="D19" s="15" t="s">
        <v>105</v>
      </c>
      <c r="E19" s="6"/>
      <c r="F19" s="30" t="s">
        <v>6</v>
      </c>
      <c r="G19" s="23">
        <f>+G17/G18</f>
        <v>6000</v>
      </c>
      <c r="H19" s="15" t="s">
        <v>104</v>
      </c>
    </row>
    <row r="20" spans="2:9" x14ac:dyDescent="0.3">
      <c r="B20" s="17" t="s">
        <v>87</v>
      </c>
      <c r="C20" s="7">
        <v>1</v>
      </c>
      <c r="D20" s="15" t="s">
        <v>88</v>
      </c>
      <c r="E20" s="6"/>
      <c r="F20" s="29" t="s">
        <v>93</v>
      </c>
      <c r="G20" s="7">
        <v>1</v>
      </c>
      <c r="H20" s="15"/>
    </row>
    <row r="21" spans="2:9" x14ac:dyDescent="0.3">
      <c r="B21" s="18" t="s">
        <v>86</v>
      </c>
      <c r="C21" s="23">
        <f>(C18/C19)*C20</f>
        <v>40000</v>
      </c>
      <c r="D21" s="15" t="s">
        <v>106</v>
      </c>
      <c r="E21" s="6"/>
      <c r="F21" s="30" t="s">
        <v>108</v>
      </c>
      <c r="G21" s="23">
        <f>+G19*G20</f>
        <v>6000</v>
      </c>
      <c r="H21" s="15"/>
    </row>
    <row r="22" spans="2:9" x14ac:dyDescent="0.3">
      <c r="B22" s="19"/>
      <c r="C22" s="12"/>
      <c r="D22" s="15"/>
      <c r="E22" s="6"/>
      <c r="F22" s="15"/>
      <c r="H22" s="15"/>
    </row>
    <row r="23" spans="2:9" x14ac:dyDescent="0.3">
      <c r="B23" s="20" t="s">
        <v>10</v>
      </c>
      <c r="D23" s="15"/>
      <c r="E23" s="6"/>
      <c r="F23" s="15"/>
      <c r="H23" s="15"/>
    </row>
    <row r="24" spans="2:9" x14ac:dyDescent="0.3">
      <c r="B24" s="17" t="s">
        <v>7</v>
      </c>
      <c r="C24" s="8">
        <v>10000</v>
      </c>
      <c r="D24" s="15" t="s">
        <v>89</v>
      </c>
      <c r="E24" s="6"/>
      <c r="F24" s="15"/>
      <c r="H24" s="15"/>
    </row>
    <row r="25" spans="2:9" x14ac:dyDescent="0.3">
      <c r="B25" s="17" t="s">
        <v>8</v>
      </c>
      <c r="C25" s="8">
        <v>15000</v>
      </c>
      <c r="D25" s="15" t="s">
        <v>90</v>
      </c>
      <c r="E25" s="6"/>
      <c r="F25" s="29" t="str">
        <f>+B25</f>
        <v>Fuel</v>
      </c>
      <c r="G25" s="8">
        <v>5000</v>
      </c>
      <c r="H25" s="15" t="s">
        <v>50</v>
      </c>
    </row>
    <row r="26" spans="2:9" x14ac:dyDescent="0.3">
      <c r="B26" s="17" t="s">
        <v>9</v>
      </c>
      <c r="C26" s="8">
        <f>25*750</f>
        <v>18750</v>
      </c>
      <c r="D26" s="15" t="s">
        <v>91</v>
      </c>
      <c r="E26" s="6"/>
      <c r="F26" s="29" t="str">
        <f>+B26</f>
        <v>Supplies</v>
      </c>
      <c r="G26" s="8">
        <v>10000</v>
      </c>
      <c r="H26" s="15" t="s">
        <v>51</v>
      </c>
    </row>
    <row r="27" spans="2:9" x14ac:dyDescent="0.3">
      <c r="B27" s="15"/>
      <c r="D27" s="15"/>
      <c r="E27" s="6"/>
      <c r="F27" s="15"/>
      <c r="H27" s="15"/>
    </row>
    <row r="28" spans="2:9" x14ac:dyDescent="0.3">
      <c r="B28" s="21" t="s">
        <v>18</v>
      </c>
      <c r="C28" s="24">
        <f>+C14+C21+C24+C25+C26+G28</f>
        <v>675750</v>
      </c>
      <c r="D28" s="15"/>
      <c r="E28" s="6"/>
      <c r="F28" s="31" t="str">
        <f>+B28</f>
        <v>Total Annual</v>
      </c>
      <c r="G28" s="24">
        <f>+G13+G14+G21+G25+G26</f>
        <v>32000</v>
      </c>
      <c r="H28" s="15"/>
      <c r="I28" s="13"/>
    </row>
    <row r="29" spans="2:9" x14ac:dyDescent="0.3">
      <c r="B29" s="15"/>
      <c r="D29" s="15"/>
      <c r="E29" s="6"/>
      <c r="F29" s="15"/>
      <c r="G29" s="15"/>
      <c r="H29" s="15"/>
    </row>
    <row r="30" spans="2:9" x14ac:dyDescent="0.3">
      <c r="B30" s="15" t="s">
        <v>19</v>
      </c>
      <c r="C30" s="25">
        <f>+C28/C6</f>
        <v>77.140410958904113</v>
      </c>
      <c r="D30" s="15" t="s">
        <v>94</v>
      </c>
      <c r="E30" s="6"/>
      <c r="F30" s="32" t="str">
        <f>+B30</f>
        <v>Cost/UH</v>
      </c>
      <c r="G30" s="25">
        <f>+G28/C6</f>
        <v>3.6529680365296802</v>
      </c>
      <c r="H30" s="15" t="s">
        <v>47</v>
      </c>
    </row>
    <row r="31" spans="2:9" x14ac:dyDescent="0.3">
      <c r="B31" s="15" t="s">
        <v>20</v>
      </c>
      <c r="C31" s="25">
        <f>+C28/C7</f>
        <v>675.75</v>
      </c>
      <c r="D31" s="15" t="s">
        <v>95</v>
      </c>
      <c r="E31" s="6"/>
      <c r="F31" s="32" t="str">
        <f>+B31</f>
        <v>Cost/Response</v>
      </c>
      <c r="G31" s="25">
        <f>+G28/C7</f>
        <v>32</v>
      </c>
      <c r="H31" s="15" t="s">
        <v>46</v>
      </c>
    </row>
    <row r="32" spans="2:9" x14ac:dyDescent="0.3">
      <c r="B32" s="15" t="s">
        <v>21</v>
      </c>
      <c r="C32" s="25">
        <f>+C28/C8</f>
        <v>965.35714285714289</v>
      </c>
      <c r="D32" s="15" t="s">
        <v>96</v>
      </c>
      <c r="E32" s="6"/>
      <c r="F32" s="32" t="s">
        <v>21</v>
      </c>
      <c r="G32" s="25">
        <f>+G28/C8</f>
        <v>45.714285714285715</v>
      </c>
      <c r="H32" s="15"/>
    </row>
    <row r="33" spans="2:8" x14ac:dyDescent="0.3">
      <c r="B33" s="15"/>
      <c r="D33" s="15"/>
      <c r="E33" s="6"/>
      <c r="H33" s="15"/>
    </row>
    <row r="34" spans="2:8" x14ac:dyDescent="0.3">
      <c r="B34" s="15"/>
      <c r="D34" s="15"/>
      <c r="E34" s="6"/>
      <c r="H34" s="15"/>
    </row>
    <row r="35" spans="2:8" x14ac:dyDescent="0.3">
      <c r="B35" s="16" t="s">
        <v>52</v>
      </c>
      <c r="D35" s="15"/>
      <c r="E35" s="6"/>
      <c r="H35" s="15"/>
    </row>
    <row r="36" spans="2:8" x14ac:dyDescent="0.3">
      <c r="B36" s="17" t="s">
        <v>33</v>
      </c>
      <c r="C36" s="26">
        <f>+C32</f>
        <v>965.35714285714289</v>
      </c>
      <c r="D36" s="15"/>
      <c r="E36" s="6"/>
      <c r="H36" s="15"/>
    </row>
    <row r="37" spans="2:8" x14ac:dyDescent="0.3">
      <c r="B37" s="17" t="s">
        <v>34</v>
      </c>
      <c r="C37" s="27">
        <v>0.3</v>
      </c>
      <c r="D37" s="15" t="s">
        <v>53</v>
      </c>
      <c r="E37" s="6"/>
      <c r="H37" s="15"/>
    </row>
    <row r="38" spans="2:8" x14ac:dyDescent="0.3">
      <c r="B38" s="17" t="s">
        <v>32</v>
      </c>
      <c r="C38" s="28">
        <f>+C36/C37</f>
        <v>3217.8571428571431</v>
      </c>
      <c r="D38" s="15" t="s">
        <v>54</v>
      </c>
      <c r="E38" s="6"/>
      <c r="H38" s="15"/>
    </row>
    <row r="39" spans="2:8" x14ac:dyDescent="0.3">
      <c r="B39" s="17" t="s">
        <v>35</v>
      </c>
      <c r="C39" s="28">
        <f>+C38*C37</f>
        <v>965.35714285714289</v>
      </c>
      <c r="D39" s="15"/>
      <c r="E39" s="6"/>
    </row>
  </sheetData>
  <sheetProtection algorithmName="SHA-512" hashValue="758AR05lYLg2I8wcBy91/Tz/Z26nhCxOZvpHHFreE8jaUijHycKl2atwJVX+K9CetNxj9OjMmqfqcQSnF/ZpTg==" saltValue="eZczwUKg2S/h13Yk3RaryQ==" spinCount="100000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B1" sqref="B1"/>
    </sheetView>
  </sheetViews>
  <sheetFormatPr defaultRowHeight="14.4" x14ac:dyDescent="0.3"/>
  <cols>
    <col min="1" max="1" width="15.33203125" style="15" customWidth="1"/>
    <col min="2" max="2" width="22.6640625" style="15" customWidth="1"/>
    <col min="3" max="3" width="13" style="15" customWidth="1"/>
    <col min="4" max="4" width="10.88671875" style="15" customWidth="1"/>
    <col min="5" max="5" width="14.5546875" style="15" customWidth="1"/>
    <col min="6" max="6" width="11" style="15" customWidth="1"/>
    <col min="7" max="8" width="10.77734375" style="15" customWidth="1"/>
    <col min="9" max="9" width="12" style="15" customWidth="1"/>
    <col min="10" max="10" width="12.88671875" style="15" customWidth="1"/>
    <col min="11" max="11" width="12.44140625" style="15" bestFit="1" customWidth="1"/>
    <col min="12" max="12" width="11.77734375" style="15" customWidth="1"/>
    <col min="13" max="13" width="10.77734375" style="15" customWidth="1"/>
    <col min="14" max="16384" width="8.88671875" style="15"/>
  </cols>
  <sheetData>
    <row r="1" spans="1:13" ht="15" thickBot="1" x14ac:dyDescent="0.35">
      <c r="A1" s="16" t="s">
        <v>36</v>
      </c>
      <c r="B1" s="2" t="s">
        <v>109</v>
      </c>
      <c r="C1" s="34"/>
      <c r="D1" s="35" t="s">
        <v>111</v>
      </c>
    </row>
    <row r="2" spans="1:13" ht="15" thickBot="1" x14ac:dyDescent="0.35">
      <c r="A2" s="16"/>
      <c r="B2" s="73"/>
      <c r="C2" s="36"/>
      <c r="D2" s="35" t="s">
        <v>110</v>
      </c>
    </row>
    <row r="4" spans="1:13" x14ac:dyDescent="0.3">
      <c r="B4" s="74" t="s">
        <v>71</v>
      </c>
      <c r="C4" s="73"/>
      <c r="D4" s="73"/>
    </row>
    <row r="5" spans="1:13" ht="43.2" x14ac:dyDescent="0.3">
      <c r="C5" s="16" t="s">
        <v>55</v>
      </c>
      <c r="D5" s="75" t="s">
        <v>68</v>
      </c>
      <c r="E5" s="75" t="s">
        <v>56</v>
      </c>
      <c r="F5" s="75" t="s">
        <v>57</v>
      </c>
      <c r="G5" s="75" t="s">
        <v>69</v>
      </c>
      <c r="H5" s="76" t="s">
        <v>58</v>
      </c>
      <c r="I5" s="75" t="s">
        <v>59</v>
      </c>
      <c r="J5" s="75" t="s">
        <v>60</v>
      </c>
      <c r="K5" s="75" t="s">
        <v>61</v>
      </c>
      <c r="L5" s="76" t="s">
        <v>62</v>
      </c>
      <c r="M5" s="75" t="s">
        <v>70</v>
      </c>
    </row>
    <row r="6" spans="1:13" x14ac:dyDescent="0.3">
      <c r="C6" s="68">
        <v>42736</v>
      </c>
      <c r="D6" s="7" t="s">
        <v>63</v>
      </c>
      <c r="E6" s="7">
        <v>470</v>
      </c>
      <c r="F6" s="7">
        <v>457</v>
      </c>
      <c r="G6" s="8">
        <v>300021.74</v>
      </c>
      <c r="H6" s="77">
        <f>+G6/E6</f>
        <v>638.3441276595745</v>
      </c>
      <c r="I6" s="8">
        <v>2699.69</v>
      </c>
      <c r="J6" s="8">
        <v>297322.05</v>
      </c>
      <c r="K6" s="8">
        <v>290809.88</v>
      </c>
      <c r="L6" s="28">
        <f>+K6/E6</f>
        <v>618.74442553191489</v>
      </c>
      <c r="M6" s="78">
        <f>+K6/G6</f>
        <v>0.96929602501472067</v>
      </c>
    </row>
    <row r="7" spans="1:13" x14ac:dyDescent="0.3">
      <c r="C7" s="68">
        <v>42736</v>
      </c>
      <c r="D7" s="7" t="s">
        <v>64</v>
      </c>
      <c r="E7" s="7">
        <v>30</v>
      </c>
      <c r="F7" s="7">
        <v>30</v>
      </c>
      <c r="G7" s="8">
        <v>33012.720000000001</v>
      </c>
      <c r="H7" s="77">
        <f t="shared" ref="H7:H10" si="0">+G7/E7</f>
        <v>1100.424</v>
      </c>
      <c r="I7" s="8">
        <v>6.46</v>
      </c>
      <c r="J7" s="8">
        <v>33006.26</v>
      </c>
      <c r="K7" s="8">
        <v>33006.26</v>
      </c>
      <c r="L7" s="28">
        <f>+K7/E7</f>
        <v>1100.2086666666667</v>
      </c>
      <c r="M7" s="78">
        <f t="shared" ref="M7:M10" si="1">+K7/G7</f>
        <v>0.99980431785081636</v>
      </c>
    </row>
    <row r="8" spans="1:13" x14ac:dyDescent="0.3">
      <c r="C8" s="68">
        <v>42736</v>
      </c>
      <c r="D8" s="7" t="s">
        <v>65</v>
      </c>
      <c r="E8" s="7">
        <v>12</v>
      </c>
      <c r="F8" s="7">
        <v>12</v>
      </c>
      <c r="G8" s="8">
        <v>12878.54</v>
      </c>
      <c r="H8" s="77">
        <f t="shared" si="0"/>
        <v>1073.2116666666668</v>
      </c>
      <c r="I8" s="8">
        <v>9511.81</v>
      </c>
      <c r="J8" s="8">
        <v>3366.73</v>
      </c>
      <c r="K8" s="8">
        <v>6662.1</v>
      </c>
      <c r="L8" s="28">
        <f>+K8/E8</f>
        <v>555.17500000000007</v>
      </c>
      <c r="M8" s="78">
        <f t="shared" si="1"/>
        <v>0.51730242713847996</v>
      </c>
    </row>
    <row r="9" spans="1:13" x14ac:dyDescent="0.3">
      <c r="C9" s="68">
        <v>42736</v>
      </c>
      <c r="D9" s="7" t="s">
        <v>66</v>
      </c>
      <c r="E9" s="69">
        <v>3</v>
      </c>
      <c r="F9" s="69">
        <v>3</v>
      </c>
      <c r="G9" s="70">
        <v>1280.97</v>
      </c>
      <c r="H9" s="79">
        <f t="shared" si="0"/>
        <v>426.99</v>
      </c>
      <c r="I9" s="70">
        <v>0</v>
      </c>
      <c r="J9" s="70">
        <v>1280.97</v>
      </c>
      <c r="K9" s="70">
        <v>1280.97</v>
      </c>
      <c r="L9" s="80">
        <f>+K9/E9</f>
        <v>426.99</v>
      </c>
      <c r="M9" s="81">
        <f t="shared" si="1"/>
        <v>1</v>
      </c>
    </row>
    <row r="10" spans="1:13" x14ac:dyDescent="0.3">
      <c r="C10" s="16" t="s">
        <v>67</v>
      </c>
      <c r="D10" s="16"/>
      <c r="E10" s="82">
        <f>SUM(E6:E9)</f>
        <v>515</v>
      </c>
      <c r="F10" s="82">
        <f t="shared" ref="F10:G10" si="2">SUM(F6:F9)</f>
        <v>502</v>
      </c>
      <c r="G10" s="83">
        <f t="shared" si="2"/>
        <v>347193.96999999991</v>
      </c>
      <c r="H10" s="84">
        <f t="shared" si="0"/>
        <v>674.16304854368911</v>
      </c>
      <c r="I10" s="85">
        <f>SUM(I6:I9)</f>
        <v>12217.96</v>
      </c>
      <c r="J10" s="85">
        <f t="shared" ref="J10:K10" si="3">SUM(J6:J9)</f>
        <v>334976.00999999995</v>
      </c>
      <c r="K10" s="85">
        <f t="shared" si="3"/>
        <v>331759.20999999996</v>
      </c>
      <c r="L10" s="25">
        <f>+K10/E10</f>
        <v>644.19264077669891</v>
      </c>
      <c r="M10" s="78">
        <f t="shared" si="1"/>
        <v>0.95554427399761588</v>
      </c>
    </row>
    <row r="14" spans="1:13" x14ac:dyDescent="0.3">
      <c r="B14" s="74" t="s">
        <v>72</v>
      </c>
      <c r="C14" s="73"/>
      <c r="D14" s="73"/>
    </row>
    <row r="15" spans="1:13" ht="43.2" x14ac:dyDescent="0.3">
      <c r="C15" s="16" t="s">
        <v>55</v>
      </c>
      <c r="D15" s="75" t="s">
        <v>68</v>
      </c>
      <c r="E15" s="75" t="s">
        <v>56</v>
      </c>
      <c r="F15" s="75" t="s">
        <v>57</v>
      </c>
      <c r="G15" s="75" t="s">
        <v>69</v>
      </c>
      <c r="H15" s="76" t="s">
        <v>58</v>
      </c>
      <c r="I15" s="75" t="s">
        <v>59</v>
      </c>
      <c r="J15" s="75" t="s">
        <v>60</v>
      </c>
      <c r="K15" s="75" t="s">
        <v>61</v>
      </c>
      <c r="L15" s="76" t="s">
        <v>62</v>
      </c>
      <c r="M15" s="75" t="s">
        <v>70</v>
      </c>
    </row>
    <row r="16" spans="1:13" x14ac:dyDescent="0.3">
      <c r="C16" s="68">
        <v>42736</v>
      </c>
      <c r="D16" s="7" t="s">
        <v>73</v>
      </c>
      <c r="E16" s="69">
        <v>470</v>
      </c>
      <c r="F16" s="69">
        <v>457</v>
      </c>
      <c r="G16" s="70">
        <v>300021.74</v>
      </c>
      <c r="H16" s="79">
        <f>+G16/E16</f>
        <v>638.3441276595745</v>
      </c>
      <c r="I16" s="70">
        <f>(638.34-420)*E16</f>
        <v>102619.80000000002</v>
      </c>
      <c r="J16" s="70">
        <f>+G16-I16</f>
        <v>197401.93999999997</v>
      </c>
      <c r="K16" s="70">
        <f>+E16*420</f>
        <v>197400</v>
      </c>
      <c r="L16" s="71">
        <f>+K16/E16</f>
        <v>420</v>
      </c>
      <c r="M16" s="81">
        <f>+K16/G16</f>
        <v>0.65795232038851592</v>
      </c>
    </row>
    <row r="17" spans="2:13" x14ac:dyDescent="0.3">
      <c r="C17" s="16" t="s">
        <v>67</v>
      </c>
      <c r="D17" s="16"/>
      <c r="E17" s="82">
        <f>+E16</f>
        <v>470</v>
      </c>
      <c r="F17" s="82">
        <f t="shared" ref="F17:M17" si="4">+F16</f>
        <v>457</v>
      </c>
      <c r="G17" s="83">
        <f t="shared" si="4"/>
        <v>300021.74</v>
      </c>
      <c r="H17" s="86">
        <f t="shared" si="4"/>
        <v>638.3441276595745</v>
      </c>
      <c r="I17" s="83">
        <f t="shared" si="4"/>
        <v>102619.80000000002</v>
      </c>
      <c r="J17" s="83">
        <f t="shared" si="4"/>
        <v>197401.93999999997</v>
      </c>
      <c r="K17" s="83">
        <f t="shared" si="4"/>
        <v>197400</v>
      </c>
      <c r="L17" s="86">
        <f t="shared" si="4"/>
        <v>420</v>
      </c>
      <c r="M17" s="87">
        <f t="shared" si="4"/>
        <v>0.65795232038851592</v>
      </c>
    </row>
    <row r="22" spans="2:13" x14ac:dyDescent="0.3">
      <c r="B22" s="74" t="s">
        <v>112</v>
      </c>
    </row>
    <row r="23" spans="2:13" ht="43.2" x14ac:dyDescent="0.3">
      <c r="C23" s="88" t="s">
        <v>79</v>
      </c>
      <c r="D23" s="88" t="s">
        <v>83</v>
      </c>
      <c r="E23" s="88" t="s">
        <v>80</v>
      </c>
      <c r="F23" s="89" t="s">
        <v>81</v>
      </c>
      <c r="G23" s="89" t="s">
        <v>82</v>
      </c>
    </row>
    <row r="24" spans="2:13" x14ac:dyDescent="0.3">
      <c r="B24" s="90" t="s">
        <v>77</v>
      </c>
      <c r="C24" s="72">
        <v>19823788.829999998</v>
      </c>
      <c r="D24" s="78">
        <f t="shared" ref="D24:D29" si="5">+C24/$C$29</f>
        <v>0.21265799846203315</v>
      </c>
      <c r="E24" s="72">
        <v>14343374.640000001</v>
      </c>
      <c r="F24" s="91">
        <f t="shared" ref="F24:F29" si="6">+E24/$E$29</f>
        <v>0.36991175531274689</v>
      </c>
      <c r="G24" s="78">
        <f>+E24/C24</f>
        <v>0.72354355481701338</v>
      </c>
    </row>
    <row r="25" spans="2:13" x14ac:dyDescent="0.3">
      <c r="B25" s="90" t="s">
        <v>74</v>
      </c>
      <c r="C25" s="8">
        <v>21514737.52</v>
      </c>
      <c r="D25" s="78">
        <f t="shared" si="5"/>
        <v>0.23079750584889613</v>
      </c>
      <c r="E25" s="8">
        <v>13821360.210000001</v>
      </c>
      <c r="F25" s="91">
        <f t="shared" si="6"/>
        <v>0.3564491442503977</v>
      </c>
      <c r="G25" s="78">
        <f t="shared" ref="G25:G28" si="7">+E25/C25</f>
        <v>0.6424136105379733</v>
      </c>
    </row>
    <row r="26" spans="2:13" x14ac:dyDescent="0.3">
      <c r="B26" s="90" t="s">
        <v>75</v>
      </c>
      <c r="C26" s="8">
        <v>7638122.8499999996</v>
      </c>
      <c r="D26" s="78">
        <f t="shared" si="5"/>
        <v>8.1937309321515828E-2</v>
      </c>
      <c r="E26" s="8">
        <v>5653485.9500000002</v>
      </c>
      <c r="F26" s="91">
        <f t="shared" si="6"/>
        <v>0.14580187465566002</v>
      </c>
      <c r="G26" s="78">
        <f t="shared" si="7"/>
        <v>0.74016693119828525</v>
      </c>
    </row>
    <row r="27" spans="2:13" x14ac:dyDescent="0.3">
      <c r="B27" s="90" t="s">
        <v>76</v>
      </c>
      <c r="C27" s="8">
        <v>4078853.1500000004</v>
      </c>
      <c r="D27" s="78">
        <f t="shared" si="5"/>
        <v>4.3755548161756683E-2</v>
      </c>
      <c r="E27" s="8">
        <v>3209688.31</v>
      </c>
      <c r="F27" s="91">
        <f t="shared" si="6"/>
        <v>8.277699401700242E-2</v>
      </c>
      <c r="G27" s="78">
        <f t="shared" si="7"/>
        <v>0.78690950420708328</v>
      </c>
    </row>
    <row r="28" spans="2:13" x14ac:dyDescent="0.3">
      <c r="B28" s="90" t="s">
        <v>78</v>
      </c>
      <c r="C28" s="70">
        <v>40163605.199999996</v>
      </c>
      <c r="D28" s="81">
        <f t="shared" si="5"/>
        <v>0.4308516382057983</v>
      </c>
      <c r="E28" s="70">
        <v>1747216.1300000001</v>
      </c>
      <c r="F28" s="92">
        <f t="shared" si="6"/>
        <v>4.5060231764192743E-2</v>
      </c>
      <c r="G28" s="81">
        <f t="shared" si="7"/>
        <v>4.350247248222628E-2</v>
      </c>
    </row>
    <row r="29" spans="2:13" x14ac:dyDescent="0.3">
      <c r="B29" s="93" t="s">
        <v>67</v>
      </c>
      <c r="C29" s="85">
        <f>SUM(C24:C28)</f>
        <v>93219107.549999982</v>
      </c>
      <c r="D29" s="87">
        <f t="shared" si="5"/>
        <v>1</v>
      </c>
      <c r="E29" s="85">
        <f>SUM(E24:E28)</f>
        <v>38775125.24000001</v>
      </c>
      <c r="F29" s="94">
        <f t="shared" si="6"/>
        <v>1</v>
      </c>
      <c r="G29" s="87">
        <f>+E29/C29</f>
        <v>0.41595683823943685</v>
      </c>
    </row>
    <row r="30" spans="2:13" x14ac:dyDescent="0.3">
      <c r="B30" s="95"/>
    </row>
  </sheetData>
  <sheetProtection algorithmName="SHA-512" hashValue="bENGcWm+R+CwFYfpiwdAwB+9z7NPTND5hxd9yqLLX3ngVXQ2tU52HzM0YfEFTA8F2B+dBkRO/B9VG1DDWjdZ4g==" saltValue="2dFhnoNZyPG52NDpslN/PQ==" spinCount="100000"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1" sqref="B1"/>
    </sheetView>
  </sheetViews>
  <sheetFormatPr defaultRowHeight="14.4" x14ac:dyDescent="0.3"/>
  <cols>
    <col min="1" max="1" width="34.109375" customWidth="1"/>
    <col min="2" max="2" width="17.109375" customWidth="1"/>
    <col min="3" max="3" width="4.6640625" customWidth="1"/>
    <col min="4" max="4" width="17.77734375" customWidth="1"/>
  </cols>
  <sheetData>
    <row r="1" spans="1:5" s="3" customFormat="1" ht="15" thickBot="1" x14ac:dyDescent="0.35">
      <c r="A1" s="16" t="s">
        <v>36</v>
      </c>
      <c r="B1" s="2" t="s">
        <v>109</v>
      </c>
      <c r="C1" s="34"/>
      <c r="D1" s="35" t="s">
        <v>111</v>
      </c>
    </row>
    <row r="2" spans="1:5" s="3" customFormat="1" ht="15" thickBot="1" x14ac:dyDescent="0.35">
      <c r="A2" s="1"/>
      <c r="B2" s="12"/>
      <c r="C2" s="36"/>
      <c r="D2" s="35" t="s">
        <v>110</v>
      </c>
    </row>
    <row r="3" spans="1:5" s="40" customFormat="1" x14ac:dyDescent="0.3">
      <c r="A3" s="41" t="s">
        <v>113</v>
      </c>
      <c r="B3" s="38"/>
      <c r="C3" s="38"/>
      <c r="D3" s="38"/>
      <c r="E3" s="39"/>
    </row>
    <row r="4" spans="1:5" s="40" customFormat="1" x14ac:dyDescent="0.3">
      <c r="A4" s="37" t="s">
        <v>114</v>
      </c>
      <c r="B4" s="66"/>
      <c r="C4" s="38"/>
      <c r="D4" s="38"/>
      <c r="E4" s="39"/>
    </row>
    <row r="5" spans="1:5" s="40" customFormat="1" x14ac:dyDescent="0.3">
      <c r="A5" s="67" t="s">
        <v>115</v>
      </c>
      <c r="B5" s="66"/>
      <c r="C5" s="38"/>
      <c r="D5" s="38"/>
      <c r="E5" s="39"/>
    </row>
    <row r="6" spans="1:5" s="40" customFormat="1" x14ac:dyDescent="0.3">
      <c r="A6" s="37" t="s">
        <v>116</v>
      </c>
      <c r="B6" s="66"/>
      <c r="C6" s="38"/>
      <c r="D6" s="38"/>
      <c r="E6" s="39"/>
    </row>
    <row r="7" spans="1:5" s="40" customFormat="1" x14ac:dyDescent="0.3">
      <c r="A7" s="38"/>
      <c r="B7" s="38"/>
      <c r="C7" s="38"/>
      <c r="D7" s="38"/>
      <c r="E7" s="39"/>
    </row>
    <row r="8" spans="1:5" s="40" customFormat="1" x14ac:dyDescent="0.3">
      <c r="A8" s="41" t="s">
        <v>22</v>
      </c>
      <c r="B8" s="37" t="s">
        <v>23</v>
      </c>
      <c r="C8" s="42"/>
      <c r="D8" s="43" t="s">
        <v>24</v>
      </c>
      <c r="E8" s="39"/>
    </row>
    <row r="9" spans="1:5" s="40" customFormat="1" x14ac:dyDescent="0.3">
      <c r="A9" s="44" t="s">
        <v>25</v>
      </c>
      <c r="B9" s="45">
        <v>5325</v>
      </c>
      <c r="C9" s="38"/>
      <c r="D9" s="46">
        <f>+B9/12</f>
        <v>443.75</v>
      </c>
      <c r="E9" s="39"/>
    </row>
    <row r="10" spans="1:5" s="40" customFormat="1" x14ac:dyDescent="0.3">
      <c r="A10" s="44" t="s">
        <v>26</v>
      </c>
      <c r="B10" s="47">
        <v>0.77971830985915491</v>
      </c>
      <c r="C10" s="38"/>
      <c r="D10" s="48">
        <f>+B10</f>
        <v>0.77971830985915491</v>
      </c>
      <c r="E10" s="39"/>
    </row>
    <row r="11" spans="1:5" s="40" customFormat="1" x14ac:dyDescent="0.3">
      <c r="A11" s="44" t="s">
        <v>27</v>
      </c>
      <c r="B11" s="49">
        <v>7542564.75</v>
      </c>
      <c r="C11" s="50"/>
      <c r="D11" s="51">
        <f>+B11/12</f>
        <v>628547.0625</v>
      </c>
      <c r="E11" s="39"/>
    </row>
    <row r="12" spans="1:5" s="40" customFormat="1" x14ac:dyDescent="0.3">
      <c r="A12" s="44" t="s">
        <v>28</v>
      </c>
      <c r="B12" s="49">
        <v>5517750.8300000001</v>
      </c>
      <c r="C12" s="50"/>
      <c r="D12" s="51">
        <f t="shared" ref="D12:D13" si="0">+B12/12</f>
        <v>459812.56916666665</v>
      </c>
      <c r="E12" s="39"/>
    </row>
    <row r="13" spans="1:5" s="40" customFormat="1" x14ac:dyDescent="0.3">
      <c r="A13" s="52" t="s">
        <v>29</v>
      </c>
      <c r="B13" s="53">
        <v>1726669.35</v>
      </c>
      <c r="C13" s="50"/>
      <c r="D13" s="54">
        <f t="shared" si="0"/>
        <v>143889.11250000002</v>
      </c>
      <c r="E13" s="39"/>
    </row>
    <row r="14" spans="1:5" s="40" customFormat="1" x14ac:dyDescent="0.3">
      <c r="A14" s="55" t="s">
        <v>30</v>
      </c>
      <c r="B14" s="56">
        <v>7244420.1799999997</v>
      </c>
      <c r="C14" s="57"/>
      <c r="D14" s="58">
        <f>+B14/12</f>
        <v>603701.68166666664</v>
      </c>
      <c r="E14" s="39"/>
    </row>
    <row r="15" spans="1:5" s="40" customFormat="1" x14ac:dyDescent="0.3">
      <c r="A15" s="55"/>
      <c r="B15" s="59"/>
      <c r="C15" s="57"/>
      <c r="D15" s="60"/>
      <c r="E15" s="39"/>
    </row>
    <row r="16" spans="1:5" s="40" customFormat="1" x14ac:dyDescent="0.3">
      <c r="A16" s="55" t="s">
        <v>32</v>
      </c>
      <c r="B16" s="61">
        <v>1416.4440845070424</v>
      </c>
      <c r="C16" s="57"/>
      <c r="D16" s="60"/>
      <c r="E16" s="39"/>
    </row>
    <row r="17" spans="1:5" s="40" customFormat="1" ht="15" thickBot="1" x14ac:dyDescent="0.35">
      <c r="A17" s="62"/>
      <c r="B17" s="63"/>
      <c r="C17" s="38"/>
      <c r="D17" s="38"/>
      <c r="E17" s="39"/>
    </row>
    <row r="18" spans="1:5" s="40" customFormat="1" ht="15" thickBot="1" x14ac:dyDescent="0.35">
      <c r="A18" s="64" t="s">
        <v>31</v>
      </c>
      <c r="B18" s="65">
        <v>1360.4544938967135</v>
      </c>
      <c r="C18" s="38"/>
      <c r="D18" s="38"/>
      <c r="E18" s="39"/>
    </row>
    <row r="19" spans="1:5" s="40" customFormat="1" x14ac:dyDescent="0.3">
      <c r="A19" s="39"/>
      <c r="B19" s="39"/>
      <c r="C19" s="39"/>
      <c r="D19" s="39"/>
      <c r="E19" s="39"/>
    </row>
    <row r="20" spans="1:5" s="40" customFormat="1" x14ac:dyDescent="0.3">
      <c r="A20" s="39"/>
      <c r="B20" s="39"/>
      <c r="C20" s="39"/>
      <c r="D20" s="39"/>
      <c r="E20" s="39"/>
    </row>
  </sheetData>
  <sheetProtection algorithmName="SHA-512" hashValue="43T0vm66lD4MQjC6cWfofowXHDcGSFtSbhmJSUHML5JVtkzF2sEu9/Dejpu+Nj5FYJXTnR3a8CI+KpemmvOZAA==" saltValue="YUIsDfmXJlULgOszTw0k7A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Service Delivery Cost Example</vt:lpstr>
      <vt:lpstr>Payer Analysis 2</vt:lpstr>
      <vt:lpstr>Payer Analysis</vt:lpstr>
    </vt:vector>
  </TitlesOfParts>
  <Company>Medstar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Zavadsky</dc:creator>
  <cp:lastModifiedBy>Matt Zavadsky</cp:lastModifiedBy>
  <dcterms:created xsi:type="dcterms:W3CDTF">2017-01-03T02:51:20Z</dcterms:created>
  <dcterms:modified xsi:type="dcterms:W3CDTF">2017-04-20T12:35:38Z</dcterms:modified>
</cp:coreProperties>
</file>